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55" windowWidth="14655" windowHeight="7620"/>
  </bookViews>
  <sheets>
    <sheet name="т21" sheetId="1" r:id="rId1"/>
    <sheet name="Лист2" sheetId="2" r:id="rId2"/>
    <sheet name="Лист3" sheetId="3" r:id="rId3"/>
  </sheets>
  <definedNames>
    <definedName name="_xlnm.Print_Titles" localSheetId="0">т21!$6:$10</definedName>
  </definedNames>
  <calcPr calcId="144525"/>
</workbook>
</file>

<file path=xl/calcChain.xml><?xml version="1.0" encoding="utf-8"?>
<calcChain xmlns="http://schemas.openxmlformats.org/spreadsheetml/2006/main">
  <c r="H74" i="1" l="1"/>
  <c r="H75" i="1" s="1"/>
  <c r="H70" i="1"/>
  <c r="H69" i="1"/>
  <c r="H68" i="1"/>
  <c r="H67" i="1"/>
  <c r="F70" i="1"/>
  <c r="H62" i="1"/>
  <c r="H61" i="1"/>
  <c r="H60" i="1"/>
  <c r="G63" i="1"/>
  <c r="F63" i="1"/>
  <c r="H57" i="1"/>
  <c r="H56" i="1"/>
  <c r="H55" i="1"/>
  <c r="G58" i="1"/>
  <c r="F58" i="1"/>
  <c r="H52" i="1"/>
  <c r="H51" i="1"/>
  <c r="H50" i="1"/>
  <c r="F52" i="1"/>
  <c r="H47" i="1"/>
  <c r="H46" i="1"/>
  <c r="H45" i="1"/>
  <c r="F47" i="1"/>
  <c r="H42" i="1"/>
  <c r="F42" i="1"/>
  <c r="G25" i="1"/>
  <c r="F25" i="1"/>
  <c r="H41" i="1"/>
  <c r="H40" i="1"/>
  <c r="H37" i="1"/>
  <c r="H36" i="1"/>
  <c r="H35" i="1"/>
  <c r="H32" i="1"/>
  <c r="H31" i="1"/>
  <c r="H30" i="1"/>
  <c r="H26" i="1"/>
  <c r="H25" i="1"/>
  <c r="H21" i="1"/>
  <c r="H20" i="1"/>
  <c r="H17" i="1"/>
  <c r="H16" i="1"/>
  <c r="H15" i="1"/>
  <c r="G93" i="1"/>
  <c r="G89" i="1"/>
  <c r="G86" i="1"/>
  <c r="G84" i="1"/>
  <c r="G83" i="1"/>
  <c r="G82" i="1"/>
  <c r="G81" i="1"/>
  <c r="G80" i="1"/>
  <c r="G79" i="1"/>
  <c r="G85" i="1"/>
  <c r="G74" i="1"/>
  <c r="G75" i="1" s="1"/>
  <c r="G70" i="1"/>
  <c r="G69" i="1"/>
  <c r="G68" i="1"/>
  <c r="G67" i="1"/>
  <c r="G62" i="1"/>
  <c r="G61" i="1"/>
  <c r="G60" i="1"/>
  <c r="G57" i="1"/>
  <c r="G56" i="1"/>
  <c r="G55" i="1"/>
  <c r="G52" i="1"/>
  <c r="G51" i="1"/>
  <c r="G50" i="1"/>
  <c r="F110" i="1"/>
  <c r="F109" i="1"/>
  <c r="F108" i="1"/>
  <c r="F107" i="1"/>
  <c r="F106" i="1"/>
  <c r="F105" i="1"/>
  <c r="F104" i="1"/>
  <c r="G111" i="1"/>
  <c r="G110" i="1"/>
  <c r="G109" i="1"/>
  <c r="G108" i="1"/>
  <c r="G107" i="1"/>
  <c r="G106" i="1"/>
  <c r="G105" i="1"/>
  <c r="G104" i="1"/>
  <c r="F93" i="1"/>
  <c r="F99" i="1"/>
  <c r="F98" i="1"/>
  <c r="F97" i="1"/>
  <c r="F96" i="1"/>
  <c r="F95" i="1"/>
  <c r="F94" i="1"/>
  <c r="G99" i="1"/>
  <c r="G98" i="1"/>
  <c r="G97" i="1"/>
  <c r="G96" i="1"/>
  <c r="G95" i="1"/>
  <c r="G94" i="1"/>
  <c r="F89" i="1"/>
  <c r="F80" i="1"/>
  <c r="F69" i="1"/>
  <c r="F68" i="1"/>
  <c r="F67" i="1"/>
  <c r="F62" i="1"/>
  <c r="F61" i="1"/>
  <c r="F60" i="1"/>
  <c r="F57" i="1"/>
  <c r="F56" i="1"/>
  <c r="F55" i="1"/>
  <c r="F51" i="1"/>
  <c r="F50" i="1"/>
  <c r="G47" i="1"/>
  <c r="G46" i="1"/>
  <c r="G45" i="1"/>
  <c r="F46" i="1"/>
  <c r="F45" i="1"/>
  <c r="F37" i="1"/>
  <c r="G42" i="1"/>
  <c r="G41" i="1"/>
  <c r="G40" i="1"/>
  <c r="G38" i="1"/>
  <c r="G37" i="1"/>
  <c r="G36" i="1"/>
  <c r="G35" i="1"/>
  <c r="G33" i="1"/>
  <c r="G32" i="1"/>
  <c r="G31" i="1"/>
  <c r="G30" i="1"/>
  <c r="G26" i="1"/>
  <c r="G21" i="1"/>
  <c r="G20" i="1"/>
  <c r="G27" i="1"/>
  <c r="G22" i="1"/>
  <c r="G18" i="1"/>
  <c r="G17" i="1"/>
  <c r="G16" i="1"/>
  <c r="G15" i="1"/>
  <c r="G14" i="1"/>
  <c r="F86" i="1"/>
  <c r="F85" i="1"/>
  <c r="F84" i="1"/>
  <c r="F83" i="1"/>
  <c r="F82" i="1"/>
  <c r="F81" i="1"/>
  <c r="F79" i="1"/>
  <c r="F74" i="1"/>
  <c r="F75" i="1" s="1"/>
  <c r="F41" i="1"/>
  <c r="F40" i="1"/>
  <c r="F38" i="1"/>
  <c r="F36" i="1"/>
  <c r="F35" i="1"/>
  <c r="F33" i="1"/>
  <c r="F32" i="1"/>
  <c r="F31" i="1"/>
  <c r="F30" i="1"/>
  <c r="F27" i="1"/>
  <c r="F26" i="1"/>
  <c r="F22" i="1"/>
  <c r="F21" i="1"/>
  <c r="F20" i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<sst xmlns="http://schemas.openxmlformats.org/spreadsheetml/2006/main" count="217" uniqueCount="139">
  <si>
    <t>ПО ТИПУ НАСЕЛЕННЫХ ПУНКТОВ</t>
  </si>
  <si>
    <t>Забайкальский край</t>
  </si>
  <si>
    <t>Все респонденты</t>
  </si>
  <si>
    <t>А</t>
  </si>
  <si>
    <t>Б</t>
  </si>
  <si>
    <t>...</t>
  </si>
  <si>
    <t>не определено</t>
  </si>
  <si>
    <t>УДОВЛЕТВОРЕННОСТЬ РАБОТОЙ ОБЩЕОБРАЗОВАТЕЛЬНОЙ ОРГАНИЗАЦИИ 
И ПОСЕЩЕНИЕ ДОПОЛНИТЕЛЬНЫХ ЗАНЯТИЙ</t>
  </si>
  <si>
    <t>из них проживают</t>
  </si>
  <si>
    <t>в городских населенных пунктах</t>
  </si>
  <si>
    <t>в  сельских населенных пунктах</t>
  </si>
  <si>
    <t>01</t>
  </si>
  <si>
    <t>в том числе по оценке родителей работы общеобразовательной организации</t>
  </si>
  <si>
    <t>работа общеобразовательной организации в целом</t>
  </si>
  <si>
    <t>02</t>
  </si>
  <si>
    <t>полностью удовлетворены</t>
  </si>
  <si>
    <t>03</t>
  </si>
  <si>
    <t>скорее удовлетворены</t>
  </si>
  <si>
    <t>04</t>
  </si>
  <si>
    <t>скорее не удовлетворены</t>
  </si>
  <si>
    <t>05</t>
  </si>
  <si>
    <t xml:space="preserve">совершенно не удовлетворены </t>
  </si>
  <si>
    <t>06</t>
  </si>
  <si>
    <t xml:space="preserve">не определено  </t>
  </si>
  <si>
    <t>организация учебного процесса (наполняемость класса, сменность, количество дней обучения, загрузка домашней работой, обеспеченность учебными пособиями, разнообразие и качество оборудования для обучения)</t>
  </si>
  <si>
    <t>07</t>
  </si>
  <si>
    <t>08</t>
  </si>
  <si>
    <t>не совсем удовлетворены</t>
  </si>
  <si>
    <t>09</t>
  </si>
  <si>
    <t>совершенно не удовлетворены</t>
  </si>
  <si>
    <t>10</t>
  </si>
  <si>
    <t>качество обучения (регулярность занятий согласно расписанию, профессиональная подготовка преподавателей, разнообразие дополнительных занятий)</t>
  </si>
  <si>
    <t>11</t>
  </si>
  <si>
    <t>12</t>
  </si>
  <si>
    <t>13</t>
  </si>
  <si>
    <t>14</t>
  </si>
  <si>
    <t>регулярность и порядок организации внеучебных мероприятий</t>
  </si>
  <si>
    <t>15</t>
  </si>
  <si>
    <t>16</t>
  </si>
  <si>
    <t>17</t>
  </si>
  <si>
    <t>18</t>
  </si>
  <si>
    <t>качество воспитательной работы</t>
  </si>
  <si>
    <t>19</t>
  </si>
  <si>
    <t>20</t>
  </si>
  <si>
    <t>21</t>
  </si>
  <si>
    <t>22</t>
  </si>
  <si>
    <t>организация медицинского контроля и медицинской помощи</t>
  </si>
  <si>
    <t>23</t>
  </si>
  <si>
    <t>24</t>
  </si>
  <si>
    <t>25</t>
  </si>
  <si>
    <t>26</t>
  </si>
  <si>
    <t xml:space="preserve">качество питания </t>
  </si>
  <si>
    <t>27</t>
  </si>
  <si>
    <t>28</t>
  </si>
  <si>
    <t>29</t>
  </si>
  <si>
    <t>30</t>
  </si>
  <si>
    <t>комфортность пребывания в общеобразовательной организации (чистота помещений, исправность мебели, температура воздуха, гигиенические удобства)</t>
  </si>
  <si>
    <t>31</t>
  </si>
  <si>
    <t>32</t>
  </si>
  <si>
    <t>33</t>
  </si>
  <si>
    <t>34</t>
  </si>
  <si>
    <t>условия пребывания для обучающихся с ограниченными возможностями</t>
  </si>
  <si>
    <t>35</t>
  </si>
  <si>
    <t>36</t>
  </si>
  <si>
    <t>37</t>
  </si>
  <si>
    <t>38</t>
  </si>
  <si>
    <t>безопасность пребывания в здании общеобразовательной организации и на ее территории (состояние здания, благоустройство и охрана территории)</t>
  </si>
  <si>
    <t>39</t>
  </si>
  <si>
    <t>40</t>
  </si>
  <si>
    <t>41</t>
  </si>
  <si>
    <t>42</t>
  </si>
  <si>
    <t>по желанию родителей перевести ребенка в другую общеобразовательную организацию</t>
  </si>
  <si>
    <t>43</t>
  </si>
  <si>
    <t>хотели бы перевести ребенка в другую общеобразовательную организацию</t>
  </si>
  <si>
    <t>44</t>
  </si>
  <si>
    <t>уже перевели (со следующего учебного года) ребенка в другую общеобразовательную организацию</t>
  </si>
  <si>
    <t>45</t>
  </si>
  <si>
    <t>не хотели бы, перевести ребенка в другую общеобразовательную организацию, так как всё устраивает</t>
  </si>
  <si>
    <t>46</t>
  </si>
  <si>
    <t>нет необходимости переводить ребенка в другую общеобразовательную организацию по другим причинам</t>
  </si>
  <si>
    <t>47</t>
  </si>
  <si>
    <t>57</t>
  </si>
  <si>
    <t xml:space="preserve">посещали дополнительные занятия </t>
  </si>
  <si>
    <t>58</t>
  </si>
  <si>
    <t xml:space="preserve">не посещали дополнительные занятия </t>
  </si>
  <si>
    <t>по виду дополнительных занятий</t>
  </si>
  <si>
    <t>59</t>
  </si>
  <si>
    <t>дополнительные занятия по основным предметам</t>
  </si>
  <si>
    <t>60</t>
  </si>
  <si>
    <t>углубленное изучение других предметов</t>
  </si>
  <si>
    <t>61</t>
  </si>
  <si>
    <t>обучение иностранному языку</t>
  </si>
  <si>
    <t>62</t>
  </si>
  <si>
    <t>занятия техническим творчеством, программированием</t>
  </si>
  <si>
    <t>63</t>
  </si>
  <si>
    <t>занятия художественным творчеством (рисование, лепка, другие творческие занятия)</t>
  </si>
  <si>
    <t>64</t>
  </si>
  <si>
    <t>обучение музыке, пению, театральному искусству</t>
  </si>
  <si>
    <t>65</t>
  </si>
  <si>
    <t>спортивные и оздоровительные занятия</t>
  </si>
  <si>
    <t>66</t>
  </si>
  <si>
    <t>другие занятия</t>
  </si>
  <si>
    <t>67</t>
  </si>
  <si>
    <t>нуждаются в дополнительных или других дополнительных занятиях для повышения уровня подготовки</t>
  </si>
  <si>
    <t>по виду необходимых дополнительных занятий</t>
  </si>
  <si>
    <t>68</t>
  </si>
  <si>
    <t>69</t>
  </si>
  <si>
    <t>70</t>
  </si>
  <si>
    <t>71</t>
  </si>
  <si>
    <t>72</t>
  </si>
  <si>
    <t>73</t>
  </si>
  <si>
    <t>74</t>
  </si>
  <si>
    <t>75</t>
  </si>
  <si>
    <t>по причинам непосещения необходимых дополнительных занятий</t>
  </si>
  <si>
    <t>76</t>
  </si>
  <si>
    <t>таких образовательных организаций, где мы живем, не имеется</t>
  </si>
  <si>
    <t>77</t>
  </si>
  <si>
    <t xml:space="preserve">в таких образовательных организациях нет свободных мест  </t>
  </si>
  <si>
    <t>78</t>
  </si>
  <si>
    <t xml:space="preserve">нет возможности сопровождать ребенка на занятия </t>
  </si>
  <si>
    <t>79</t>
  </si>
  <si>
    <t xml:space="preserve">имеем ограниченные возможности из-за отсутствия денежных средств </t>
  </si>
  <si>
    <t>80</t>
  </si>
  <si>
    <t xml:space="preserve">у ребенка нет желания </t>
  </si>
  <si>
    <t>81</t>
  </si>
  <si>
    <t>у ребенка нет возможности по состоянию здоровья, опасаемся перегрузки</t>
  </si>
  <si>
    <t>82</t>
  </si>
  <si>
    <t>по другим причинам</t>
  </si>
  <si>
    <t>83</t>
  </si>
  <si>
    <t>2015 год</t>
  </si>
  <si>
    <t>2017 год</t>
  </si>
  <si>
    <t>Дети, обучавшиеся в общеобразовательной организации в 2014/2015 и в 2016/2017 учебном году – всего</t>
  </si>
  <si>
    <t>Из числа детей, обучавшихся в общеобразовательной организации в 2014/2015  и в 2016/2017 учебном году</t>
  </si>
  <si>
    <t>Из числа детей, обучавшихся в общеобразовательной организации в 2014/2015  и 2016/2017 учебном году</t>
  </si>
  <si>
    <t>Из числа детей, обучавшихся в общеобразовательной организации в 2014/2015  и 2016/2017 учебном году и посещавших дополнительные занятия</t>
  </si>
  <si>
    <t>Из числа детей, обучавшихся в общеобразовательной организации в 2014/2015 и 2016/2017 учебном году</t>
  </si>
  <si>
    <t>Из числа детей, обучавшихся в общеобразовательной организации  в учебном году, нуждающихся в дополнительных занятиях для повышения уровня подготовки</t>
  </si>
  <si>
    <t>Из числа детей, обучавшихся в общеобразовательной организации в учебном году,  нуждающихся в дополнительных занятиях для повышения уровня подготовки</t>
  </si>
  <si>
    <t>в процентах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</si>
</sst>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#\ 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Font="1"/>
    <xf numFmtId="1" fontId="4" fillId="0" borderId="0" xfId="1" applyNumberFormat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1" fontId="7" fillId="0" borderId="9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right"/>
    </xf>
    <xf numFmtId="0" fontId="8" fillId="0" borderId="0" xfId="1" applyFont="1"/>
    <xf numFmtId="0" fontId="7" fillId="0" borderId="8" xfId="1" applyFont="1" applyBorder="1" applyAlignment="1">
      <alignment horizontal="right"/>
    </xf>
    <xf numFmtId="164" fontId="7" fillId="0" borderId="8" xfId="1" applyNumberFormat="1" applyFont="1" applyBorder="1" applyAlignment="1">
      <alignment horizontal="right"/>
    </xf>
    <xf numFmtId="164" fontId="7" fillId="0" borderId="11" xfId="1" applyNumberFormat="1" applyFont="1" applyBorder="1" applyAlignment="1">
      <alignment horizontal="right"/>
    </xf>
    <xf numFmtId="49" fontId="2" fillId="0" borderId="0" xfId="1" applyNumberFormat="1" applyFont="1" applyAlignment="1">
      <alignment horizontal="left"/>
    </xf>
    <xf numFmtId="0" fontId="2" fillId="0" borderId="0" xfId="1" applyFont="1"/>
    <xf numFmtId="1" fontId="6" fillId="0" borderId="0" xfId="1" applyNumberFormat="1" applyFont="1" applyBorder="1" applyAlignment="1">
      <alignment horizontal="left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right" vertical="center" wrapText="1"/>
    </xf>
    <xf numFmtId="49" fontId="9" fillId="0" borderId="0" xfId="1" applyNumberFormat="1" applyFont="1" applyAlignment="1">
      <alignment horizontal="left" vertical="center" wrapText="1"/>
    </xf>
    <xf numFmtId="49" fontId="9" fillId="0" borderId="7" xfId="1" applyNumberFormat="1" applyFont="1" applyBorder="1" applyAlignment="1">
      <alignment horizontal="right" vertical="center" wrapText="1"/>
    </xf>
    <xf numFmtId="49" fontId="9" fillId="0" borderId="0" xfId="1" applyNumberFormat="1" applyFont="1" applyAlignment="1">
      <alignment horizontal="left" vertical="center" wrapText="1" indent="3"/>
    </xf>
    <xf numFmtId="49" fontId="10" fillId="0" borderId="0" xfId="1" applyNumberFormat="1" applyFont="1" applyAlignment="1">
      <alignment horizontal="left" vertical="center" wrapText="1" indent="1"/>
    </xf>
    <xf numFmtId="49" fontId="10" fillId="0" borderId="7" xfId="1" applyNumberFormat="1" applyFont="1" applyBorder="1" applyAlignment="1">
      <alignment horizontal="right" vertical="center" wrapText="1" indent="1"/>
    </xf>
    <xf numFmtId="49" fontId="11" fillId="0" borderId="0" xfId="1" applyNumberFormat="1" applyFont="1" applyAlignment="1">
      <alignment horizontal="left" vertical="center" wrapText="1"/>
    </xf>
    <xf numFmtId="49" fontId="9" fillId="0" borderId="0" xfId="1" applyNumberFormat="1" applyFont="1" applyAlignment="1">
      <alignment horizontal="left" vertical="center" wrapText="1" indent="2"/>
    </xf>
    <xf numFmtId="49" fontId="9" fillId="0" borderId="0" xfId="1" applyNumberFormat="1" applyFont="1" applyAlignment="1">
      <alignment horizontal="left" vertical="center" wrapText="1" indent="1"/>
    </xf>
    <xf numFmtId="49" fontId="11" fillId="0" borderId="0" xfId="1" applyNumberFormat="1" applyFont="1" applyAlignment="1">
      <alignment horizontal="left" vertical="center" wrapText="1" indent="1"/>
    </xf>
    <xf numFmtId="49" fontId="10" fillId="0" borderId="0" xfId="1" applyNumberFormat="1" applyFont="1" applyAlignment="1">
      <alignment horizontal="left" vertical="center" wrapText="1" indent="2"/>
    </xf>
    <xf numFmtId="49" fontId="9" fillId="0" borderId="10" xfId="1" applyNumberFormat="1" applyFont="1" applyBorder="1" applyAlignment="1">
      <alignment horizontal="right" vertical="center" wrapText="1"/>
    </xf>
    <xf numFmtId="49" fontId="9" fillId="0" borderId="1" xfId="1" applyNumberFormat="1" applyFont="1" applyBorder="1" applyAlignment="1">
      <alignment horizontal="left" vertical="center" wrapText="1" indent="3"/>
    </xf>
    <xf numFmtId="0" fontId="9" fillId="0" borderId="0" xfId="1" applyFont="1"/>
    <xf numFmtId="164" fontId="9" fillId="0" borderId="8" xfId="1" applyNumberFormat="1" applyFont="1" applyBorder="1" applyAlignment="1">
      <alignment horizontal="right"/>
    </xf>
    <xf numFmtId="0" fontId="9" fillId="0" borderId="8" xfId="1" applyFont="1" applyBorder="1" applyAlignment="1">
      <alignment horizontal="right"/>
    </xf>
    <xf numFmtId="164" fontId="9" fillId="0" borderId="11" xfId="1" applyNumberFormat="1" applyFont="1" applyBorder="1" applyAlignment="1">
      <alignment horizontal="right"/>
    </xf>
    <xf numFmtId="0" fontId="12" fillId="0" borderId="0" xfId="1" applyFont="1"/>
    <xf numFmtId="0" fontId="13" fillId="0" borderId="0" xfId="1" applyFont="1"/>
    <xf numFmtId="1" fontId="14" fillId="0" borderId="0" xfId="1" applyNumberFormat="1" applyFont="1" applyBorder="1" applyAlignment="1">
      <alignment horizontal="center" vertical="center" wrapText="1"/>
    </xf>
    <xf numFmtId="1" fontId="4" fillId="0" borderId="5" xfId="1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>
      <alignment horizontal="center" vertical="center" wrapText="1"/>
    </xf>
    <xf numFmtId="1" fontId="4" fillId="0" borderId="9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left" vertical="center" wrapText="1"/>
    </xf>
    <xf numFmtId="1" fontId="6" fillId="0" borderId="4" xfId="1" applyNumberFormat="1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/>
    <xf numFmtId="1" fontId="4" fillId="0" borderId="0" xfId="1" applyNumberFormat="1" applyFont="1" applyBorder="1" applyAlignment="1">
      <alignment horizontal="center" vertical="center" wrapText="1"/>
    </xf>
    <xf numFmtId="1" fontId="5" fillId="0" borderId="0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workbookViewId="0">
      <selection sqref="A1:XFD1"/>
    </sheetView>
  </sheetViews>
  <sheetFormatPr defaultColWidth="9.140625" defaultRowHeight="15" x14ac:dyDescent="0.25"/>
  <cols>
    <col min="1" max="1" width="4.28515625" style="1" customWidth="1"/>
    <col min="2" max="2" width="43.7109375" style="12" customWidth="1"/>
    <col min="3" max="4" width="12.5703125" style="13" customWidth="1"/>
    <col min="5" max="5" width="12.5703125" style="2" customWidth="1"/>
    <col min="6" max="7" width="12.5703125" style="13" customWidth="1"/>
    <col min="8" max="8" width="12.5703125" style="2" customWidth="1"/>
  </cols>
  <sheetData>
    <row r="1" spans="1:8" x14ac:dyDescent="0.25">
      <c r="B1" s="1"/>
      <c r="C1" s="1"/>
      <c r="D1" s="1"/>
      <c r="F1" s="1"/>
      <c r="G1" s="1"/>
    </row>
    <row r="2" spans="1:8" ht="32.25" customHeight="1" x14ac:dyDescent="0.25">
      <c r="A2" s="47" t="s">
        <v>7</v>
      </c>
      <c r="B2" s="47"/>
      <c r="C2" s="47"/>
      <c r="D2" s="47"/>
      <c r="E2" s="47"/>
      <c r="F2" s="46"/>
      <c r="G2" s="46"/>
      <c r="H2" s="46"/>
    </row>
    <row r="3" spans="1:8" x14ac:dyDescent="0.25">
      <c r="A3" s="48" t="s">
        <v>0</v>
      </c>
      <c r="B3" s="48"/>
      <c r="C3" s="48"/>
      <c r="D3" s="48"/>
      <c r="E3" s="48"/>
      <c r="F3" s="46"/>
      <c r="G3" s="46"/>
      <c r="H3" s="46"/>
    </row>
    <row r="4" spans="1:8" ht="15.75" customHeight="1" x14ac:dyDescent="0.25">
      <c r="A4" s="42"/>
      <c r="B4" s="42"/>
      <c r="C4" s="47" t="s">
        <v>1</v>
      </c>
      <c r="D4" s="49"/>
      <c r="E4" s="49"/>
      <c r="F4" s="3"/>
      <c r="G4" s="3"/>
      <c r="H4" s="3"/>
    </row>
    <row r="5" spans="1:8" ht="15.75" customHeight="1" x14ac:dyDescent="0.25">
      <c r="A5" s="14"/>
      <c r="B5" s="14"/>
      <c r="C5" s="3"/>
      <c r="D5" s="3"/>
      <c r="E5" s="3"/>
      <c r="F5" s="3"/>
      <c r="H5" s="35" t="s">
        <v>138</v>
      </c>
    </row>
    <row r="6" spans="1:8" ht="15.75" customHeight="1" x14ac:dyDescent="0.25">
      <c r="A6" s="43"/>
      <c r="B6" s="43"/>
      <c r="C6" s="36" t="s">
        <v>129</v>
      </c>
      <c r="D6" s="37"/>
      <c r="E6" s="38"/>
      <c r="F6" s="36" t="s">
        <v>130</v>
      </c>
      <c r="G6" s="37"/>
      <c r="H6" s="38"/>
    </row>
    <row r="7" spans="1:8" ht="15.75" customHeight="1" x14ac:dyDescent="0.25">
      <c r="A7" s="44"/>
      <c r="B7" s="44"/>
      <c r="C7" s="39" t="s">
        <v>2</v>
      </c>
      <c r="D7" s="40" t="s">
        <v>8</v>
      </c>
      <c r="E7" s="41"/>
      <c r="F7" s="39" t="s">
        <v>2</v>
      </c>
      <c r="G7" s="40" t="s">
        <v>8</v>
      </c>
      <c r="H7" s="41"/>
    </row>
    <row r="8" spans="1:8" ht="32.25" customHeight="1" x14ac:dyDescent="0.25">
      <c r="A8" s="44"/>
      <c r="B8" s="44"/>
      <c r="C8" s="39"/>
      <c r="D8" s="39" t="s">
        <v>9</v>
      </c>
      <c r="E8" s="39" t="s">
        <v>10</v>
      </c>
      <c r="F8" s="39"/>
      <c r="G8" s="39" t="s">
        <v>9</v>
      </c>
      <c r="H8" s="39" t="s">
        <v>10</v>
      </c>
    </row>
    <row r="9" spans="1:8" x14ac:dyDescent="0.25">
      <c r="A9" s="45"/>
      <c r="B9" s="45"/>
      <c r="C9" s="39"/>
      <c r="D9" s="39"/>
      <c r="E9" s="39"/>
      <c r="F9" s="39"/>
      <c r="G9" s="39"/>
      <c r="H9" s="39"/>
    </row>
    <row r="10" spans="1:8" x14ac:dyDescent="0.25">
      <c r="A10" s="5" t="s">
        <v>3</v>
      </c>
      <c r="B10" s="15" t="s">
        <v>4</v>
      </c>
      <c r="C10" s="6">
        <v>1</v>
      </c>
      <c r="D10" s="4">
        <v>2</v>
      </c>
      <c r="E10" s="4">
        <v>3</v>
      </c>
      <c r="F10" s="6">
        <v>4</v>
      </c>
      <c r="G10" s="4">
        <v>5</v>
      </c>
      <c r="H10" s="4">
        <v>6</v>
      </c>
    </row>
    <row r="11" spans="1:8" s="8" customFormat="1" ht="33.75" x14ac:dyDescent="0.2">
      <c r="A11" s="16" t="s">
        <v>11</v>
      </c>
      <c r="B11" s="17" t="s">
        <v>131</v>
      </c>
      <c r="C11" s="7">
        <v>100</v>
      </c>
      <c r="D11" s="7">
        <v>100</v>
      </c>
      <c r="E11" s="7">
        <v>100</v>
      </c>
      <c r="F11" s="7">
        <v>100</v>
      </c>
      <c r="G11" s="7">
        <v>100</v>
      </c>
      <c r="H11" s="7">
        <v>100</v>
      </c>
    </row>
    <row r="12" spans="1:8" s="8" customFormat="1" ht="22.5" x14ac:dyDescent="0.2">
      <c r="A12" s="18"/>
      <c r="B12" s="19" t="s">
        <v>12</v>
      </c>
      <c r="C12" s="9"/>
      <c r="D12" s="9"/>
      <c r="E12" s="9"/>
      <c r="F12" s="9"/>
      <c r="G12" s="9"/>
      <c r="H12" s="9"/>
    </row>
    <row r="13" spans="1:8" s="8" customFormat="1" ht="21" x14ac:dyDescent="0.2">
      <c r="A13" s="18"/>
      <c r="B13" s="20" t="s">
        <v>13</v>
      </c>
      <c r="C13" s="9"/>
      <c r="D13" s="9"/>
      <c r="E13" s="9"/>
      <c r="F13" s="9"/>
      <c r="G13" s="9"/>
      <c r="H13" s="9"/>
    </row>
    <row r="14" spans="1:8" s="8" customFormat="1" ht="11.25" x14ac:dyDescent="0.2">
      <c r="A14" s="18" t="s">
        <v>14</v>
      </c>
      <c r="B14" s="19" t="s">
        <v>15</v>
      </c>
      <c r="C14" s="10">
        <v>16.485430406551401</v>
      </c>
      <c r="D14" s="10">
        <v>12.074050893316301</v>
      </c>
      <c r="E14" s="10">
        <v>23.231123753825202</v>
      </c>
      <c r="F14" s="10">
        <f>5*100/213</f>
        <v>2.347417840375587</v>
      </c>
      <c r="G14" s="10">
        <f>4*100/127</f>
        <v>3.1496062992125986</v>
      </c>
      <c r="H14" s="10">
        <v>1.2</v>
      </c>
    </row>
    <row r="15" spans="1:8" s="8" customFormat="1" ht="11.25" x14ac:dyDescent="0.2">
      <c r="A15" s="18" t="s">
        <v>16</v>
      </c>
      <c r="B15" s="19" t="s">
        <v>17</v>
      </c>
      <c r="C15" s="10">
        <v>56.912882005142102</v>
      </c>
      <c r="D15" s="10">
        <v>61.770496445651901</v>
      </c>
      <c r="E15" s="10">
        <v>49.4848252449708</v>
      </c>
      <c r="F15" s="10">
        <f>36*100/213</f>
        <v>16.901408450704224</v>
      </c>
      <c r="G15" s="10">
        <f>22*100/127</f>
        <v>17.322834645669293</v>
      </c>
      <c r="H15" s="10">
        <f>14*100/86</f>
        <v>16.279069767441861</v>
      </c>
    </row>
    <row r="16" spans="1:8" s="8" customFormat="1" ht="11.25" x14ac:dyDescent="0.2">
      <c r="A16" s="18" t="s">
        <v>18</v>
      </c>
      <c r="B16" s="19" t="s">
        <v>19</v>
      </c>
      <c r="C16" s="10">
        <v>25.540316309130802</v>
      </c>
      <c r="D16" s="10">
        <v>24.3999923867222</v>
      </c>
      <c r="E16" s="10">
        <v>27.284051001203999</v>
      </c>
      <c r="F16" s="10">
        <f>135*100/213</f>
        <v>63.380281690140848</v>
      </c>
      <c r="G16" s="10">
        <f>76*100/127</f>
        <v>59.84251968503937</v>
      </c>
      <c r="H16" s="10">
        <f>59*100/86</f>
        <v>68.604651162790702</v>
      </c>
    </row>
    <row r="17" spans="1:8" s="8" customFormat="1" ht="11.25" x14ac:dyDescent="0.2">
      <c r="A17" s="18" t="s">
        <v>20</v>
      </c>
      <c r="B17" s="19" t="s">
        <v>21</v>
      </c>
      <c r="C17" s="10">
        <v>1.06137127917561</v>
      </c>
      <c r="D17" s="10">
        <v>1.7554602743096299</v>
      </c>
      <c r="E17" s="10">
        <v>0</v>
      </c>
      <c r="F17" s="10">
        <f>35*100/213</f>
        <v>16.431924882629108</v>
      </c>
      <c r="G17" s="10">
        <f>23*100/127</f>
        <v>18.110236220472441</v>
      </c>
      <c r="H17" s="10">
        <f>12*100/86</f>
        <v>13.953488372093023</v>
      </c>
    </row>
    <row r="18" spans="1:8" s="8" customFormat="1" ht="11.25" x14ac:dyDescent="0.2">
      <c r="A18" s="18" t="s">
        <v>22</v>
      </c>
      <c r="B18" s="19" t="s">
        <v>23</v>
      </c>
      <c r="C18" s="10">
        <v>0</v>
      </c>
      <c r="D18" s="10">
        <v>0</v>
      </c>
      <c r="E18" s="10">
        <v>0</v>
      </c>
      <c r="F18" s="10">
        <f>2*100/213</f>
        <v>0.93896713615023475</v>
      </c>
      <c r="G18" s="10">
        <f>2*100/127</f>
        <v>1.5748031496062993</v>
      </c>
      <c r="H18" s="10">
        <v>0</v>
      </c>
    </row>
    <row r="19" spans="1:8" s="8" customFormat="1" ht="54.75" customHeight="1" x14ac:dyDescent="0.2">
      <c r="A19" s="18"/>
      <c r="B19" s="20" t="s">
        <v>24</v>
      </c>
      <c r="C19" s="9"/>
      <c r="D19" s="9"/>
      <c r="E19" s="9"/>
      <c r="F19" s="10"/>
      <c r="G19" s="10"/>
      <c r="H19" s="10"/>
    </row>
    <row r="20" spans="1:8" s="8" customFormat="1" ht="11.25" x14ac:dyDescent="0.2">
      <c r="A20" s="18" t="s">
        <v>25</v>
      </c>
      <c r="B20" s="19" t="s">
        <v>15</v>
      </c>
      <c r="C20" s="10">
        <v>47.236791868455697</v>
      </c>
      <c r="D20" s="10">
        <v>46.5504876243266</v>
      </c>
      <c r="E20" s="10">
        <v>48.286259038518502</v>
      </c>
      <c r="F20" s="10">
        <f>150*100/213</f>
        <v>70.422535211267601</v>
      </c>
      <c r="G20" s="10">
        <f>88*100/127</f>
        <v>69.29133858267717</v>
      </c>
      <c r="H20" s="10">
        <f>62*100/86</f>
        <v>72.093023255813947</v>
      </c>
    </row>
    <row r="21" spans="1:8" s="8" customFormat="1" ht="11.25" x14ac:dyDescent="0.2">
      <c r="A21" s="18" t="s">
        <v>26</v>
      </c>
      <c r="B21" s="19" t="s">
        <v>27</v>
      </c>
      <c r="C21" s="10">
        <v>50.378272350920199</v>
      </c>
      <c r="D21" s="10">
        <v>50.158143855802201</v>
      </c>
      <c r="E21" s="10">
        <v>50.714883454228797</v>
      </c>
      <c r="F21" s="10">
        <f>59*100/213</f>
        <v>27.699530516431924</v>
      </c>
      <c r="G21" s="10">
        <f>35*100/127</f>
        <v>27.559055118110237</v>
      </c>
      <c r="H21" s="10">
        <f>24*100/86</f>
        <v>27.906976744186046</v>
      </c>
    </row>
    <row r="22" spans="1:8" s="8" customFormat="1" ht="11.25" x14ac:dyDescent="0.2">
      <c r="A22" s="18" t="s">
        <v>28</v>
      </c>
      <c r="B22" s="19" t="s">
        <v>29</v>
      </c>
      <c r="C22" s="10">
        <v>1.9472163761249901</v>
      </c>
      <c r="D22" s="10">
        <v>2.56740034684</v>
      </c>
      <c r="E22" s="10">
        <v>0.99885750725270195</v>
      </c>
      <c r="F22" s="10">
        <f>4*100/213</f>
        <v>1.8779342723004695</v>
      </c>
      <c r="G22" s="10">
        <f t="shared" ref="G22" si="0">4*100/127</f>
        <v>3.1496062992125986</v>
      </c>
      <c r="H22" s="10">
        <v>0</v>
      </c>
    </row>
    <row r="23" spans="1:8" s="8" customFormat="1" ht="11.25" x14ac:dyDescent="0.2">
      <c r="A23" s="18" t="s">
        <v>30</v>
      </c>
      <c r="B23" s="19" t="s">
        <v>6</v>
      </c>
      <c r="C23" s="10">
        <v>0.43771940449903601</v>
      </c>
      <c r="D23" s="10">
        <v>0.723968173031169</v>
      </c>
      <c r="E23" s="10">
        <v>0</v>
      </c>
      <c r="F23" s="10">
        <v>0</v>
      </c>
      <c r="G23" s="10">
        <v>0</v>
      </c>
      <c r="H23" s="10">
        <v>0</v>
      </c>
    </row>
    <row r="24" spans="1:8" s="8" customFormat="1" ht="42" x14ac:dyDescent="0.2">
      <c r="A24" s="18"/>
      <c r="B24" s="20" t="s">
        <v>31</v>
      </c>
      <c r="C24" s="9"/>
      <c r="D24" s="9"/>
      <c r="E24" s="9"/>
      <c r="F24" s="9"/>
      <c r="G24" s="9"/>
      <c r="H24" s="9"/>
    </row>
    <row r="25" spans="1:8" s="8" customFormat="1" ht="11.25" x14ac:dyDescent="0.2">
      <c r="A25" s="18" t="s">
        <v>32</v>
      </c>
      <c r="B25" s="19" t="s">
        <v>15</v>
      </c>
      <c r="C25" s="10">
        <v>53.602654754460801</v>
      </c>
      <c r="D25" s="10">
        <v>54.2516823756837</v>
      </c>
      <c r="E25" s="10">
        <v>52.610189405799602</v>
      </c>
      <c r="F25" s="10">
        <f>145*100/213</f>
        <v>68.075117370892016</v>
      </c>
      <c r="G25" s="10">
        <f>81*100/127</f>
        <v>63.779527559055119</v>
      </c>
      <c r="H25" s="10">
        <f>64*100/86</f>
        <v>74.418604651162795</v>
      </c>
    </row>
    <row r="26" spans="1:8" s="8" customFormat="1" ht="11.25" x14ac:dyDescent="0.2">
      <c r="A26" s="18" t="s">
        <v>33</v>
      </c>
      <c r="B26" s="19" t="s">
        <v>27</v>
      </c>
      <c r="C26" s="10">
        <v>45.225448766011198</v>
      </c>
      <c r="D26" s="10">
        <v>44.778566938878001</v>
      </c>
      <c r="E26" s="10">
        <v>45.9088013905737</v>
      </c>
      <c r="F26" s="10">
        <f>64*100/213</f>
        <v>30.046948356807512</v>
      </c>
      <c r="G26" s="10">
        <f>42*100/127</f>
        <v>33.070866141732282</v>
      </c>
      <c r="H26" s="10">
        <f>22*100/86</f>
        <v>25.581395348837209</v>
      </c>
    </row>
    <row r="27" spans="1:8" s="8" customFormat="1" ht="11.25" x14ac:dyDescent="0.2">
      <c r="A27" s="18" t="s">
        <v>34</v>
      </c>
      <c r="B27" s="19" t="s">
        <v>29</v>
      </c>
      <c r="C27" s="10">
        <v>1.1718964795279101</v>
      </c>
      <c r="D27" s="10">
        <v>0.96975068543832099</v>
      </c>
      <c r="E27" s="10">
        <v>1.48100920362667</v>
      </c>
      <c r="F27" s="10">
        <f>4*100/213</f>
        <v>1.8779342723004695</v>
      </c>
      <c r="G27" s="10">
        <f t="shared" ref="G27" si="1">4*100/127</f>
        <v>3.1496062992125986</v>
      </c>
      <c r="H27" s="10">
        <v>0</v>
      </c>
    </row>
    <row r="28" spans="1:8" s="8" customFormat="1" ht="11.25" x14ac:dyDescent="0.2">
      <c r="A28" s="18" t="s">
        <v>35</v>
      </c>
      <c r="B28" s="19" t="s">
        <v>6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8" customFormat="1" ht="21" x14ac:dyDescent="0.2">
      <c r="A29" s="21"/>
      <c r="B29" s="20" t="s">
        <v>36</v>
      </c>
      <c r="C29" s="9"/>
      <c r="D29" s="9"/>
      <c r="E29" s="9"/>
      <c r="F29" s="9"/>
      <c r="G29" s="9"/>
      <c r="H29" s="9"/>
    </row>
    <row r="30" spans="1:8" s="8" customFormat="1" ht="11.25" x14ac:dyDescent="0.2">
      <c r="A30" s="18" t="s">
        <v>37</v>
      </c>
      <c r="B30" s="19" t="s">
        <v>15</v>
      </c>
      <c r="C30" s="10">
        <v>49.018196446335303</v>
      </c>
      <c r="D30" s="10">
        <v>46.299016190866901</v>
      </c>
      <c r="E30" s="10">
        <v>53.176250883573999</v>
      </c>
      <c r="F30" s="10">
        <f>106*100/213</f>
        <v>49.76525821596244</v>
      </c>
      <c r="G30" s="10">
        <f>54*100/127</f>
        <v>42.519685039370081</v>
      </c>
      <c r="H30" s="10">
        <f>52*100/86</f>
        <v>60.465116279069768</v>
      </c>
    </row>
    <row r="31" spans="1:8" s="8" customFormat="1" ht="11.25" x14ac:dyDescent="0.2">
      <c r="A31" s="18" t="s">
        <v>38</v>
      </c>
      <c r="B31" s="19" t="s">
        <v>27</v>
      </c>
      <c r="C31" s="10">
        <v>47.436521320190899</v>
      </c>
      <c r="D31" s="10">
        <v>49.646621412770401</v>
      </c>
      <c r="E31" s="10">
        <v>44.0569305489608</v>
      </c>
      <c r="F31" s="10">
        <f>91*100/213</f>
        <v>42.72300469483568</v>
      </c>
      <c r="G31" s="10">
        <f>58*100/127</f>
        <v>45.669291338582674</v>
      </c>
      <c r="H31" s="10">
        <f>33*100/86</f>
        <v>38.372093023255815</v>
      </c>
    </row>
    <row r="32" spans="1:8" s="8" customFormat="1" ht="11.25" x14ac:dyDescent="0.2">
      <c r="A32" s="18" t="s">
        <v>39</v>
      </c>
      <c r="B32" s="19" t="s">
        <v>29</v>
      </c>
      <c r="C32" s="10">
        <v>3.5452822334738099</v>
      </c>
      <c r="D32" s="10">
        <v>4.0543623963626896</v>
      </c>
      <c r="E32" s="10">
        <v>2.7668185674651302</v>
      </c>
      <c r="F32" s="10">
        <f>13*100/213</f>
        <v>6.103286384976526</v>
      </c>
      <c r="G32" s="10">
        <f>12*100/127</f>
        <v>9.4488188976377945</v>
      </c>
      <c r="H32" s="10">
        <f>1*100/86</f>
        <v>1.1627906976744187</v>
      </c>
    </row>
    <row r="33" spans="1:8" s="8" customFormat="1" ht="11.25" x14ac:dyDescent="0.2">
      <c r="A33" s="18" t="s">
        <v>40</v>
      </c>
      <c r="B33" s="19" t="s">
        <v>6</v>
      </c>
      <c r="C33" s="10">
        <v>0</v>
      </c>
      <c r="D33" s="10">
        <v>0</v>
      </c>
      <c r="E33" s="10">
        <v>0</v>
      </c>
      <c r="F33" s="10">
        <f>3*100/213</f>
        <v>1.408450704225352</v>
      </c>
      <c r="G33" s="10">
        <f>3*100/127</f>
        <v>2.3622047244094486</v>
      </c>
      <c r="H33" s="10">
        <v>0</v>
      </c>
    </row>
    <row r="34" spans="1:8" s="8" customFormat="1" ht="12.75" customHeight="1" x14ac:dyDescent="0.2">
      <c r="A34" s="18"/>
      <c r="B34" s="20" t="s">
        <v>41</v>
      </c>
      <c r="C34" s="9"/>
      <c r="D34" s="9"/>
      <c r="E34" s="9"/>
      <c r="F34" s="9"/>
      <c r="G34" s="9"/>
      <c r="H34" s="9"/>
    </row>
    <row r="35" spans="1:8" s="8" customFormat="1" ht="11.25" x14ac:dyDescent="0.2">
      <c r="A35" s="18" t="s">
        <v>42</v>
      </c>
      <c r="B35" s="19" t="s">
        <v>15</v>
      </c>
      <c r="C35" s="10">
        <v>44.526917732360502</v>
      </c>
      <c r="D35" s="10">
        <v>41.848298310748099</v>
      </c>
      <c r="E35" s="10">
        <v>48.622948272929001</v>
      </c>
      <c r="F35" s="10">
        <f>117*100/213</f>
        <v>54.929577464788736</v>
      </c>
      <c r="G35" s="10">
        <f>68*100/127</f>
        <v>53.54330708661417</v>
      </c>
      <c r="H35" s="10">
        <f>49*100/86</f>
        <v>56.97674418604651</v>
      </c>
    </row>
    <row r="36" spans="1:8" s="8" customFormat="1" ht="11.25" x14ac:dyDescent="0.2">
      <c r="A36" s="18" t="s">
        <v>43</v>
      </c>
      <c r="B36" s="19" t="s">
        <v>27</v>
      </c>
      <c r="C36" s="10">
        <v>50.411617016130997</v>
      </c>
      <c r="D36" s="10">
        <v>52.2962513122472</v>
      </c>
      <c r="E36" s="10">
        <v>47.529714655381397</v>
      </c>
      <c r="F36" s="10">
        <f>82*100/213</f>
        <v>38.497652582159624</v>
      </c>
      <c r="G36" s="10">
        <f>49*100/127</f>
        <v>38.582677165354333</v>
      </c>
      <c r="H36" s="10">
        <f>33*100/86</f>
        <v>38.372093023255815</v>
      </c>
    </row>
    <row r="37" spans="1:8" s="8" customFormat="1" ht="11.25" x14ac:dyDescent="0.2">
      <c r="A37" s="18" t="s">
        <v>44</v>
      </c>
      <c r="B37" s="19" t="s">
        <v>29</v>
      </c>
      <c r="C37" s="10">
        <v>4.3426446270802597</v>
      </c>
      <c r="D37" s="10">
        <v>5.8554503770047104</v>
      </c>
      <c r="E37" s="10">
        <v>2.0293266157040302</v>
      </c>
      <c r="F37" s="10">
        <f>12*100/213</f>
        <v>5.6338028169014081</v>
      </c>
      <c r="G37" s="10">
        <f>8*100/127</f>
        <v>6.2992125984251972</v>
      </c>
      <c r="H37" s="10">
        <f>4*100/86</f>
        <v>4.6511627906976747</v>
      </c>
    </row>
    <row r="38" spans="1:8" s="8" customFormat="1" ht="11.25" x14ac:dyDescent="0.2">
      <c r="A38" s="18" t="s">
        <v>45</v>
      </c>
      <c r="B38" s="19" t="s">
        <v>6</v>
      </c>
      <c r="C38" s="10">
        <v>0.71882062442818695</v>
      </c>
      <c r="D38" s="10">
        <v>0</v>
      </c>
      <c r="E38" s="10">
        <v>1.8180104559855199</v>
      </c>
      <c r="F38" s="10">
        <f>2*100/213</f>
        <v>0.93896713615023475</v>
      </c>
      <c r="G38" s="10">
        <f>2*100/127</f>
        <v>1.5748031496062993</v>
      </c>
      <c r="H38" s="10">
        <v>0</v>
      </c>
    </row>
    <row r="39" spans="1:8" s="8" customFormat="1" ht="21" x14ac:dyDescent="0.2">
      <c r="A39" s="18"/>
      <c r="B39" s="20" t="s">
        <v>46</v>
      </c>
      <c r="C39" s="9"/>
      <c r="D39" s="9"/>
      <c r="E39" s="9"/>
      <c r="F39" s="9"/>
      <c r="G39" s="9"/>
      <c r="H39" s="10"/>
    </row>
    <row r="40" spans="1:8" s="8" customFormat="1" ht="11.25" x14ac:dyDescent="0.2">
      <c r="A40" s="18" t="s">
        <v>47</v>
      </c>
      <c r="B40" s="19" t="s">
        <v>15</v>
      </c>
      <c r="C40" s="10">
        <v>56.325897819345002</v>
      </c>
      <c r="D40" s="10">
        <v>52.297048037124803</v>
      </c>
      <c r="E40" s="10">
        <v>62.4866430219625</v>
      </c>
      <c r="F40" s="10">
        <f>129*100/213</f>
        <v>60.563380281690144</v>
      </c>
      <c r="G40" s="10">
        <f>97*100/127</f>
        <v>76.377952755905511</v>
      </c>
      <c r="H40" s="10">
        <f>32*100/86</f>
        <v>37.209302325581397</v>
      </c>
    </row>
    <row r="41" spans="1:8" s="8" customFormat="1" ht="11.25" x14ac:dyDescent="0.2">
      <c r="A41" s="18" t="s">
        <v>48</v>
      </c>
      <c r="B41" s="19" t="s">
        <v>27</v>
      </c>
      <c r="C41" s="10">
        <v>36.476885922634501</v>
      </c>
      <c r="D41" s="10">
        <v>37.7552738109068</v>
      </c>
      <c r="E41" s="10">
        <v>34.5220297042382</v>
      </c>
      <c r="F41" s="10">
        <f>53*100/213</f>
        <v>24.88262910798122</v>
      </c>
      <c r="G41" s="10">
        <f>24*100/127</f>
        <v>18.897637795275589</v>
      </c>
      <c r="H41" s="10">
        <f>29*100/86</f>
        <v>33.720930232558139</v>
      </c>
    </row>
    <row r="42" spans="1:8" s="8" customFormat="1" ht="11.25" x14ac:dyDescent="0.2">
      <c r="A42" s="18" t="s">
        <v>49</v>
      </c>
      <c r="B42" s="19" t="s">
        <v>29</v>
      </c>
      <c r="C42" s="10">
        <v>6.3968644328852102</v>
      </c>
      <c r="D42" s="10">
        <v>8.6239322940746099</v>
      </c>
      <c r="E42" s="10">
        <v>2.9913272737992802</v>
      </c>
      <c r="F42" s="10">
        <f>31*100/213</f>
        <v>14.553990610328638</v>
      </c>
      <c r="G42" s="10">
        <f>6*100/127</f>
        <v>4.7244094488188972</v>
      </c>
      <c r="H42" s="10">
        <f>25*100/86</f>
        <v>29.069767441860463</v>
      </c>
    </row>
    <row r="43" spans="1:8" s="8" customFormat="1" ht="11.25" x14ac:dyDescent="0.2">
      <c r="A43" s="18" t="s">
        <v>50</v>
      </c>
      <c r="B43" s="19" t="s">
        <v>6</v>
      </c>
      <c r="C43" s="10">
        <v>0.80035182513523495</v>
      </c>
      <c r="D43" s="10">
        <v>1.32374585789375</v>
      </c>
      <c r="E43" s="10">
        <v>0</v>
      </c>
      <c r="F43" s="10">
        <v>0</v>
      </c>
      <c r="G43" s="10">
        <v>0</v>
      </c>
      <c r="H43" s="10">
        <v>0</v>
      </c>
    </row>
    <row r="44" spans="1:8" s="8" customFormat="1" ht="11.25" x14ac:dyDescent="0.2">
      <c r="A44" s="18"/>
      <c r="B44" s="20" t="s">
        <v>51</v>
      </c>
      <c r="C44" s="9"/>
      <c r="D44" s="9"/>
      <c r="E44" s="9"/>
      <c r="F44" s="9"/>
      <c r="G44" s="9"/>
      <c r="H44" s="9"/>
    </row>
    <row r="45" spans="1:8" s="8" customFormat="1" ht="11.25" x14ac:dyDescent="0.2">
      <c r="A45" s="18" t="s">
        <v>52</v>
      </c>
      <c r="B45" s="19" t="s">
        <v>15</v>
      </c>
      <c r="C45" s="10">
        <v>40.689804817148897</v>
      </c>
      <c r="D45" s="10">
        <v>42.635376361538597</v>
      </c>
      <c r="E45" s="10">
        <v>37.714719816128401</v>
      </c>
      <c r="F45" s="10">
        <f>70*100/213</f>
        <v>32.863849765258216</v>
      </c>
      <c r="G45" s="10">
        <f>46*100/127</f>
        <v>36.220472440944881</v>
      </c>
      <c r="H45" s="10">
        <f>24*100/86</f>
        <v>27.906976744186046</v>
      </c>
    </row>
    <row r="46" spans="1:8" s="8" customFormat="1" ht="11.25" x14ac:dyDescent="0.2">
      <c r="A46" s="18" t="s">
        <v>53</v>
      </c>
      <c r="B46" s="19" t="s">
        <v>27</v>
      </c>
      <c r="C46" s="10">
        <v>49.547762514620203</v>
      </c>
      <c r="D46" s="10">
        <v>52.770248827061401</v>
      </c>
      <c r="E46" s="10">
        <v>44.620073927796902</v>
      </c>
      <c r="F46" s="10">
        <f>119*100/213</f>
        <v>55.868544600938968</v>
      </c>
      <c r="G46" s="10">
        <f>70*100/127</f>
        <v>55.118110236220474</v>
      </c>
      <c r="H46" s="10">
        <f>49*100/86</f>
        <v>56.97674418604651</v>
      </c>
    </row>
    <row r="47" spans="1:8" s="8" customFormat="1" ht="11.25" x14ac:dyDescent="0.2">
      <c r="A47" s="18" t="s">
        <v>54</v>
      </c>
      <c r="B47" s="19" t="s">
        <v>29</v>
      </c>
      <c r="C47" s="10">
        <v>9.7624326682308809</v>
      </c>
      <c r="D47" s="10">
        <v>4.5943748114000504</v>
      </c>
      <c r="E47" s="10">
        <v>17.665206256074701</v>
      </c>
      <c r="F47" s="10">
        <f>24*100/213</f>
        <v>11.267605633802816</v>
      </c>
      <c r="G47" s="10">
        <f>11*100/127</f>
        <v>8.6614173228346463</v>
      </c>
      <c r="H47" s="10">
        <f>13*100/86</f>
        <v>15.116279069767442</v>
      </c>
    </row>
    <row r="48" spans="1:8" s="8" customFormat="1" ht="11.25" x14ac:dyDescent="0.2">
      <c r="A48" s="18" t="s">
        <v>55</v>
      </c>
      <c r="B48" s="19" t="s">
        <v>6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</row>
    <row r="49" spans="1:8" s="8" customFormat="1" ht="42" x14ac:dyDescent="0.2">
      <c r="A49" s="18"/>
      <c r="B49" s="20" t="s">
        <v>56</v>
      </c>
      <c r="C49" s="9"/>
      <c r="D49" s="9"/>
      <c r="E49" s="9"/>
      <c r="F49" s="9"/>
      <c r="G49" s="9"/>
      <c r="H49" s="9"/>
    </row>
    <row r="50" spans="1:8" s="8" customFormat="1" ht="11.25" x14ac:dyDescent="0.2">
      <c r="A50" s="18" t="s">
        <v>57</v>
      </c>
      <c r="B50" s="19" t="s">
        <v>15</v>
      </c>
      <c r="C50" s="10">
        <v>59.430980751919201</v>
      </c>
      <c r="D50" s="10">
        <v>56.8985448943289</v>
      </c>
      <c r="E50" s="10">
        <v>63.303473623070197</v>
      </c>
      <c r="F50" s="10">
        <f>138*100/213</f>
        <v>64.788732394366193</v>
      </c>
      <c r="G50" s="10">
        <f>95*100/127</f>
        <v>74.803149606299215</v>
      </c>
      <c r="H50" s="10">
        <f>43*100/86</f>
        <v>50</v>
      </c>
    </row>
    <row r="51" spans="1:8" s="8" customFormat="1" ht="11.25" x14ac:dyDescent="0.2">
      <c r="A51" s="18" t="s">
        <v>58</v>
      </c>
      <c r="B51" s="19" t="s">
        <v>27</v>
      </c>
      <c r="C51" s="10">
        <v>37.519860505385097</v>
      </c>
      <c r="D51" s="10">
        <v>41.304396021011698</v>
      </c>
      <c r="E51" s="10">
        <v>31.732710255969799</v>
      </c>
      <c r="F51" s="10">
        <f>52*100/213</f>
        <v>24.413145539906104</v>
      </c>
      <c r="G51" s="10">
        <f>29*100/127</f>
        <v>22.834645669291337</v>
      </c>
      <c r="H51" s="10">
        <f>23*100/86</f>
        <v>26.744186046511629</v>
      </c>
    </row>
    <row r="52" spans="1:8" s="8" customFormat="1" ht="11.25" x14ac:dyDescent="0.2">
      <c r="A52" s="18" t="s">
        <v>59</v>
      </c>
      <c r="B52" s="19" t="s">
        <v>29</v>
      </c>
      <c r="C52" s="10">
        <v>3.0491587426956901</v>
      </c>
      <c r="D52" s="10">
        <v>1.7970590846593599</v>
      </c>
      <c r="E52" s="10">
        <v>4.9638161209599696</v>
      </c>
      <c r="F52" s="10">
        <f>23*100/213</f>
        <v>10.7981220657277</v>
      </c>
      <c r="G52" s="10">
        <f>3*100/127</f>
        <v>2.3622047244094486</v>
      </c>
      <c r="H52" s="10">
        <f>20*100/86</f>
        <v>23.255813953488371</v>
      </c>
    </row>
    <row r="53" spans="1:8" s="8" customFormat="1" ht="11.25" x14ac:dyDescent="0.2">
      <c r="A53" s="18" t="s">
        <v>60</v>
      </c>
      <c r="B53" s="19" t="s">
        <v>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</row>
    <row r="54" spans="1:8" s="8" customFormat="1" ht="21" x14ac:dyDescent="0.2">
      <c r="A54" s="18"/>
      <c r="B54" s="20" t="s">
        <v>61</v>
      </c>
      <c r="C54" s="9"/>
      <c r="D54" s="9"/>
      <c r="E54" s="9"/>
      <c r="F54" s="9"/>
      <c r="G54" s="9"/>
      <c r="H54" s="9"/>
    </row>
    <row r="55" spans="1:8" s="8" customFormat="1" ht="11.25" x14ac:dyDescent="0.2">
      <c r="A55" s="18" t="s">
        <v>62</v>
      </c>
      <c r="B55" s="19" t="s">
        <v>15</v>
      </c>
      <c r="C55" s="10">
        <v>14.9622100716788</v>
      </c>
      <c r="D55" s="10">
        <v>14.939554775658699</v>
      </c>
      <c r="E55" s="10">
        <v>14.996853583801199</v>
      </c>
      <c r="F55" s="10">
        <f>33*100/213</f>
        <v>15.492957746478874</v>
      </c>
      <c r="G55" s="10">
        <f>12*100/127</f>
        <v>9.4488188976377945</v>
      </c>
      <c r="H55" s="10">
        <f>21*100/86</f>
        <v>24.418604651162791</v>
      </c>
    </row>
    <row r="56" spans="1:8" s="8" customFormat="1" ht="11.25" x14ac:dyDescent="0.2">
      <c r="A56" s="18" t="s">
        <v>63</v>
      </c>
      <c r="B56" s="19" t="s">
        <v>27</v>
      </c>
      <c r="C56" s="10">
        <v>25.8759307521285</v>
      </c>
      <c r="D56" s="10">
        <v>26.601240529968699</v>
      </c>
      <c r="E56" s="10">
        <v>24.7668179840229</v>
      </c>
      <c r="F56" s="10">
        <f>66*100/213</f>
        <v>30.985915492957748</v>
      </c>
      <c r="G56" s="10">
        <f>35*100/127</f>
        <v>27.559055118110237</v>
      </c>
      <c r="H56" s="10">
        <f>31*100/86</f>
        <v>36.046511627906973</v>
      </c>
    </row>
    <row r="57" spans="1:8" s="8" customFormat="1" ht="11.25" x14ac:dyDescent="0.2">
      <c r="A57" s="18" t="s">
        <v>64</v>
      </c>
      <c r="B57" s="19" t="s">
        <v>29</v>
      </c>
      <c r="C57" s="10">
        <v>27.474782830257102</v>
      </c>
      <c r="D57" s="10">
        <v>6.3904654759478099</v>
      </c>
      <c r="E57" s="10">
        <v>59.716021400200198</v>
      </c>
      <c r="F57" s="10">
        <f>97*100/213</f>
        <v>45.539906103286384</v>
      </c>
      <c r="G57" s="10">
        <f>63*100/127</f>
        <v>49.606299212598422</v>
      </c>
      <c r="H57" s="10">
        <f>34*100/86</f>
        <v>39.534883720930232</v>
      </c>
    </row>
    <row r="58" spans="1:8" s="8" customFormat="1" ht="11.25" x14ac:dyDescent="0.2">
      <c r="A58" s="18" t="s">
        <v>65</v>
      </c>
      <c r="B58" s="19" t="s">
        <v>6</v>
      </c>
      <c r="C58" s="10">
        <v>31.687076345935601</v>
      </c>
      <c r="D58" s="10">
        <v>52.068739218424803</v>
      </c>
      <c r="E58" s="10">
        <v>0.52030703197570904</v>
      </c>
      <c r="F58" s="10">
        <f>17*100/213</f>
        <v>7.981220657276995</v>
      </c>
      <c r="G58" s="10">
        <f>17*100/127</f>
        <v>13.385826771653543</v>
      </c>
      <c r="H58" s="10">
        <v>0</v>
      </c>
    </row>
    <row r="59" spans="1:8" s="8" customFormat="1" ht="42" x14ac:dyDescent="0.2">
      <c r="A59" s="18"/>
      <c r="B59" s="20" t="s">
        <v>66</v>
      </c>
      <c r="C59" s="9"/>
      <c r="D59" s="9"/>
      <c r="E59" s="9"/>
      <c r="F59" s="9"/>
      <c r="G59" s="9"/>
      <c r="H59" s="9"/>
    </row>
    <row r="60" spans="1:8" s="8" customFormat="1" ht="11.25" x14ac:dyDescent="0.2">
      <c r="A60" s="18" t="s">
        <v>67</v>
      </c>
      <c r="B60" s="19" t="s">
        <v>15</v>
      </c>
      <c r="C60" s="10">
        <v>62.055725209081899</v>
      </c>
      <c r="D60" s="10">
        <v>58.3476754951594</v>
      </c>
      <c r="E60" s="10">
        <v>67.725916633674004</v>
      </c>
      <c r="F60" s="10">
        <f>115*100/213</f>
        <v>53.990610328638496</v>
      </c>
      <c r="G60" s="10">
        <f>69*100/127</f>
        <v>54.330708661417326</v>
      </c>
      <c r="H60" s="10">
        <f>49*100/86</f>
        <v>56.97674418604651</v>
      </c>
    </row>
    <row r="61" spans="1:8" x14ac:dyDescent="0.25">
      <c r="A61" s="18" t="s">
        <v>68</v>
      </c>
      <c r="B61" s="19" t="s">
        <v>27</v>
      </c>
      <c r="C61" s="10">
        <v>32.728178278362499</v>
      </c>
      <c r="D61" s="10">
        <v>40.6311813397366</v>
      </c>
      <c r="E61" s="10">
        <v>20.6432431657406</v>
      </c>
      <c r="F61" s="10">
        <f>60*100/213</f>
        <v>28.169014084507044</v>
      </c>
      <c r="G61" s="10">
        <f>35*100/127</f>
        <v>27.559055118110237</v>
      </c>
      <c r="H61" s="10">
        <f>25*100/86</f>
        <v>29.069767441860463</v>
      </c>
    </row>
    <row r="62" spans="1:8" x14ac:dyDescent="0.25">
      <c r="A62" s="18" t="s">
        <v>69</v>
      </c>
      <c r="B62" s="19" t="s">
        <v>29</v>
      </c>
      <c r="C62" s="10">
        <v>5.2160965125556302</v>
      </c>
      <c r="D62" s="10">
        <v>1.02114316510393</v>
      </c>
      <c r="E62" s="10">
        <v>11.6308402005854</v>
      </c>
      <c r="F62" s="10">
        <f>23*100/213</f>
        <v>10.7981220657277</v>
      </c>
      <c r="G62" s="10">
        <f>11*100/127</f>
        <v>8.6614173228346463</v>
      </c>
      <c r="H62" s="10">
        <f>12*100/86</f>
        <v>13.953488372093023</v>
      </c>
    </row>
    <row r="63" spans="1:8" x14ac:dyDescent="0.25">
      <c r="A63" s="18" t="s">
        <v>70</v>
      </c>
      <c r="B63" s="19" t="s">
        <v>6</v>
      </c>
      <c r="C63" s="10">
        <v>0</v>
      </c>
      <c r="D63" s="10">
        <v>0</v>
      </c>
      <c r="E63" s="10">
        <v>0</v>
      </c>
      <c r="F63" s="10">
        <f>15*100/213</f>
        <v>7.042253521126761</v>
      </c>
      <c r="G63" s="10">
        <f>12*100/127</f>
        <v>9.4488188976377945</v>
      </c>
      <c r="H63" s="10">
        <v>0</v>
      </c>
    </row>
    <row r="64" spans="1:8" x14ac:dyDescent="0.25">
      <c r="A64" s="18"/>
      <c r="B64" s="17"/>
      <c r="C64" s="9"/>
      <c r="D64" s="9"/>
      <c r="E64" s="9"/>
      <c r="F64" s="9"/>
      <c r="G64" s="9"/>
      <c r="H64" s="9"/>
    </row>
    <row r="65" spans="1:8" ht="22.5" x14ac:dyDescent="0.25">
      <c r="A65" s="18"/>
      <c r="B65" s="22" t="s">
        <v>132</v>
      </c>
      <c r="C65" s="9"/>
      <c r="D65" s="9"/>
      <c r="E65" s="9"/>
      <c r="F65" s="9"/>
      <c r="G65" s="9"/>
      <c r="H65" s="9"/>
    </row>
    <row r="66" spans="1:8" ht="21" x14ac:dyDescent="0.25">
      <c r="A66" s="18"/>
      <c r="B66" s="20" t="s">
        <v>71</v>
      </c>
      <c r="C66" s="9"/>
      <c r="D66" s="9"/>
      <c r="E66" s="9"/>
      <c r="F66" s="9"/>
      <c r="G66" s="9"/>
      <c r="H66" s="9"/>
    </row>
    <row r="67" spans="1:8" ht="22.5" x14ac:dyDescent="0.25">
      <c r="A67" s="18" t="s">
        <v>72</v>
      </c>
      <c r="B67" s="23" t="s">
        <v>73</v>
      </c>
      <c r="C67" s="10">
        <v>10.1838047232308</v>
      </c>
      <c r="D67" s="10">
        <v>8.47703435240477</v>
      </c>
      <c r="E67" s="10">
        <v>12.7937251577033</v>
      </c>
      <c r="F67" s="10">
        <f>17*100/213</f>
        <v>7.981220657276995</v>
      </c>
      <c r="G67" s="10">
        <f>11*100/127</f>
        <v>8.6614173228346463</v>
      </c>
      <c r="H67" s="10">
        <f>6*100/86</f>
        <v>6.9767441860465116</v>
      </c>
    </row>
    <row r="68" spans="1:8" ht="24" customHeight="1" x14ac:dyDescent="0.25">
      <c r="A68" s="18" t="s">
        <v>74</v>
      </c>
      <c r="B68" s="23" t="s">
        <v>75</v>
      </c>
      <c r="C68" s="10">
        <v>1.0901248989566701</v>
      </c>
      <c r="D68" s="10">
        <v>1.8030174658961999</v>
      </c>
      <c r="E68" s="10">
        <v>0</v>
      </c>
      <c r="F68" s="10">
        <f>11*100/213</f>
        <v>5.164319248826291</v>
      </c>
      <c r="G68" s="10">
        <f>7*100/127</f>
        <v>5.5118110236220472</v>
      </c>
      <c r="H68" s="10">
        <f>4*100/86</f>
        <v>4.6511627906976747</v>
      </c>
    </row>
    <row r="69" spans="1:8" ht="33.75" x14ac:dyDescent="0.25">
      <c r="A69" s="18" t="s">
        <v>76</v>
      </c>
      <c r="B69" s="23" t="s">
        <v>77</v>
      </c>
      <c r="C69" s="10">
        <v>36.045169876525399</v>
      </c>
      <c r="D69" s="10">
        <v>24.774141021097101</v>
      </c>
      <c r="E69" s="10">
        <v>53.280346342046897</v>
      </c>
      <c r="F69" s="10">
        <f>115*100/213</f>
        <v>53.990610328638496</v>
      </c>
      <c r="G69" s="10">
        <f>74*100/127</f>
        <v>58.267716535433074</v>
      </c>
      <c r="H69" s="10">
        <f>41*100/86</f>
        <v>47.674418604651166</v>
      </c>
    </row>
    <row r="70" spans="1:8" ht="33.75" x14ac:dyDescent="0.25">
      <c r="A70" s="18" t="s">
        <v>78</v>
      </c>
      <c r="B70" s="23" t="s">
        <v>79</v>
      </c>
      <c r="C70" s="10">
        <v>50.912930169247602</v>
      </c>
      <c r="D70" s="10">
        <v>62.021663889583699</v>
      </c>
      <c r="E70" s="10">
        <v>33.925928500249803</v>
      </c>
      <c r="F70" s="10">
        <f>70*100/213</f>
        <v>32.863849765258216</v>
      </c>
      <c r="G70" s="10">
        <f>35*100/127</f>
        <v>27.559055118110237</v>
      </c>
      <c r="H70" s="10">
        <f>35*100/86</f>
        <v>40.697674418604649</v>
      </c>
    </row>
    <row r="71" spans="1:8" x14ac:dyDescent="0.25">
      <c r="A71" s="18" t="s">
        <v>80</v>
      </c>
      <c r="B71" s="23" t="s">
        <v>6</v>
      </c>
      <c r="C71" s="10">
        <v>1.7679703320395299</v>
      </c>
      <c r="D71" s="10">
        <v>2.92414327101825</v>
      </c>
      <c r="E71" s="10">
        <v>0</v>
      </c>
      <c r="F71" s="10">
        <v>0</v>
      </c>
      <c r="G71" s="10">
        <v>0</v>
      </c>
      <c r="H71" s="10">
        <v>0</v>
      </c>
    </row>
    <row r="72" spans="1:8" x14ac:dyDescent="0.25">
      <c r="A72" s="18"/>
      <c r="B72" s="24"/>
      <c r="C72" s="9"/>
      <c r="D72" s="9"/>
      <c r="E72" s="9"/>
      <c r="F72" s="10"/>
      <c r="G72" s="9"/>
      <c r="H72" s="10"/>
    </row>
    <row r="73" spans="1:8" ht="23.25" customHeight="1" x14ac:dyDescent="0.25">
      <c r="A73" s="18"/>
      <c r="B73" s="22" t="s">
        <v>133</v>
      </c>
      <c r="C73" s="9"/>
      <c r="D73" s="9"/>
      <c r="E73" s="9"/>
      <c r="F73" s="9"/>
      <c r="G73" s="9"/>
      <c r="H73" s="9"/>
    </row>
    <row r="74" spans="1:8" x14ac:dyDescent="0.25">
      <c r="A74" s="18" t="s">
        <v>81</v>
      </c>
      <c r="B74" s="24" t="s">
        <v>82</v>
      </c>
      <c r="C74" s="10">
        <v>57.268188733642198</v>
      </c>
      <c r="D74" s="10">
        <v>55.769401858991699</v>
      </c>
      <c r="E74" s="10">
        <v>59.560069679042201</v>
      </c>
      <c r="F74" s="10">
        <f>107*100/213</f>
        <v>50.23474178403756</v>
      </c>
      <c r="G74" s="10">
        <f>75*100/127</f>
        <v>59.055118110236222</v>
      </c>
      <c r="H74" s="10">
        <f>32*100/86</f>
        <v>37.209302325581397</v>
      </c>
    </row>
    <row r="75" spans="1:8" x14ac:dyDescent="0.25">
      <c r="A75" s="18" t="s">
        <v>83</v>
      </c>
      <c r="B75" s="24" t="s">
        <v>84</v>
      </c>
      <c r="C75" s="10">
        <v>42.731811266357802</v>
      </c>
      <c r="D75" s="10">
        <v>44.230598141008301</v>
      </c>
      <c r="E75" s="10">
        <v>40.439930320957799</v>
      </c>
      <c r="F75" s="10">
        <f>100-F74</f>
        <v>49.76525821596244</v>
      </c>
      <c r="G75" s="10">
        <f>100-G74</f>
        <v>40.944881889763778</v>
      </c>
      <c r="H75" s="10">
        <f>100-H74</f>
        <v>62.790697674418603</v>
      </c>
    </row>
    <row r="76" spans="1:8" x14ac:dyDescent="0.25">
      <c r="A76" s="18"/>
      <c r="B76" s="24"/>
      <c r="C76" s="9"/>
      <c r="D76" s="9"/>
      <c r="E76" s="9"/>
      <c r="F76" s="9"/>
      <c r="G76" s="9"/>
      <c r="H76" s="9"/>
    </row>
    <row r="77" spans="1:8" ht="33.75" customHeight="1" x14ac:dyDescent="0.25">
      <c r="A77" s="18"/>
      <c r="B77" s="25" t="s">
        <v>134</v>
      </c>
      <c r="C77" s="9"/>
      <c r="D77" s="9"/>
      <c r="E77" s="9"/>
      <c r="F77" s="9"/>
      <c r="G77" s="9"/>
      <c r="H77" s="9"/>
    </row>
    <row r="78" spans="1:8" x14ac:dyDescent="0.25">
      <c r="A78" s="18"/>
      <c r="B78" s="26" t="s">
        <v>85</v>
      </c>
      <c r="C78" s="9"/>
      <c r="D78" s="9"/>
      <c r="E78" s="9"/>
      <c r="F78" s="9"/>
      <c r="G78" s="9"/>
      <c r="H78" s="9"/>
    </row>
    <row r="79" spans="1:8" x14ac:dyDescent="0.25">
      <c r="A79" s="18" t="s">
        <v>86</v>
      </c>
      <c r="B79" s="19" t="s">
        <v>87</v>
      </c>
      <c r="C79" s="10">
        <v>12.720372923051601</v>
      </c>
      <c r="D79" s="30">
        <v>10.9353130472585</v>
      </c>
      <c r="E79" s="30">
        <v>15.2762840596559</v>
      </c>
      <c r="F79" s="30">
        <f>18*100/213</f>
        <v>8.4507042253521121</v>
      </c>
      <c r="G79" s="10">
        <f>11*100/127</f>
        <v>8.6614173228346463</v>
      </c>
      <c r="H79" s="30">
        <v>15.2762840596559</v>
      </c>
    </row>
    <row r="80" spans="1:8" x14ac:dyDescent="0.25">
      <c r="A80" s="18" t="s">
        <v>88</v>
      </c>
      <c r="B80" s="19" t="s">
        <v>89</v>
      </c>
      <c r="C80" s="10">
        <v>16.408119599484301</v>
      </c>
      <c r="D80" s="30">
        <v>24.973668988545398</v>
      </c>
      <c r="E80" s="30">
        <v>4.1436665290194803</v>
      </c>
      <c r="F80" s="30">
        <f>13*100/213</f>
        <v>6.103286384976526</v>
      </c>
      <c r="G80" s="10">
        <f>7*100/127</f>
        <v>5.5118110236220472</v>
      </c>
      <c r="H80" s="30">
        <v>4.1436665290194803</v>
      </c>
    </row>
    <row r="81" spans="1:8" x14ac:dyDescent="0.25">
      <c r="A81" s="18" t="s">
        <v>90</v>
      </c>
      <c r="B81" s="19" t="s">
        <v>91</v>
      </c>
      <c r="C81" s="10">
        <v>7.3646374545658801</v>
      </c>
      <c r="D81" s="30">
        <v>12.508133498553899</v>
      </c>
      <c r="E81" s="30">
        <v>0</v>
      </c>
      <c r="F81" s="30">
        <f>9*100/213</f>
        <v>4.225352112676056</v>
      </c>
      <c r="G81" s="10">
        <f>6*100/127</f>
        <v>4.7244094488188972</v>
      </c>
      <c r="H81" s="30">
        <v>0</v>
      </c>
    </row>
    <row r="82" spans="1:8" ht="22.5" x14ac:dyDescent="0.25">
      <c r="A82" s="18" t="s">
        <v>92</v>
      </c>
      <c r="B82" s="19" t="s">
        <v>93</v>
      </c>
      <c r="C82" s="10">
        <v>0.420246995541463</v>
      </c>
      <c r="D82" s="30">
        <v>0.71374939432217799</v>
      </c>
      <c r="E82" s="30">
        <v>0</v>
      </c>
      <c r="F82" s="30">
        <f>16*100/213</f>
        <v>7.511737089201878</v>
      </c>
      <c r="G82" s="10">
        <f>10*100/127</f>
        <v>7.8740157480314963</v>
      </c>
      <c r="H82" s="30">
        <v>0</v>
      </c>
    </row>
    <row r="83" spans="1:8" ht="22.5" x14ac:dyDescent="0.25">
      <c r="A83" s="18" t="s">
        <v>94</v>
      </c>
      <c r="B83" s="19" t="s">
        <v>95</v>
      </c>
      <c r="C83" s="10">
        <v>17.041522712789899</v>
      </c>
      <c r="D83" s="30">
        <v>18.332730609060398</v>
      </c>
      <c r="E83" s="30">
        <v>15.1927261057391</v>
      </c>
      <c r="F83" s="30">
        <f>31*100/213</f>
        <v>14.553990610328638</v>
      </c>
      <c r="G83" s="10">
        <f>20*100/127</f>
        <v>15.748031496062993</v>
      </c>
      <c r="H83" s="30">
        <v>15.1927261057391</v>
      </c>
    </row>
    <row r="84" spans="1:8" x14ac:dyDescent="0.25">
      <c r="A84" s="18" t="s">
        <v>96</v>
      </c>
      <c r="B84" s="19" t="s">
        <v>97</v>
      </c>
      <c r="C84" s="10">
        <v>17.245044986895302</v>
      </c>
      <c r="D84" s="30">
        <v>13.6771903683009</v>
      </c>
      <c r="E84" s="30">
        <v>22.353623963495799</v>
      </c>
      <c r="F84" s="30">
        <f>8*100/213</f>
        <v>3.755868544600939</v>
      </c>
      <c r="G84" s="10">
        <f>7*100/127</f>
        <v>5.5118110236220472</v>
      </c>
      <c r="H84" s="30">
        <v>22.353623963495799</v>
      </c>
    </row>
    <row r="85" spans="1:8" x14ac:dyDescent="0.25">
      <c r="A85" s="18" t="s">
        <v>98</v>
      </c>
      <c r="B85" s="19" t="s">
        <v>99</v>
      </c>
      <c r="C85" s="10">
        <v>46.922705634137799</v>
      </c>
      <c r="D85" s="30">
        <v>55.160100159547802</v>
      </c>
      <c r="E85" s="30">
        <v>35.128116169880698</v>
      </c>
      <c r="F85" s="30">
        <f>50*100/213</f>
        <v>23.474178403755868</v>
      </c>
      <c r="G85" s="10">
        <f t="shared" ref="G85" si="2">35*100/127</f>
        <v>27.559055118110237</v>
      </c>
      <c r="H85" s="30">
        <v>35.128116169880698</v>
      </c>
    </row>
    <row r="86" spans="1:8" x14ac:dyDescent="0.25">
      <c r="A86" s="18" t="s">
        <v>100</v>
      </c>
      <c r="B86" s="19" t="s">
        <v>101</v>
      </c>
      <c r="C86" s="10">
        <v>19.924437697743699</v>
      </c>
      <c r="D86" s="30">
        <v>19.5405567693841</v>
      </c>
      <c r="E86" s="30">
        <v>20.474091831607701</v>
      </c>
      <c r="F86" s="30">
        <f>7*100/213</f>
        <v>3.2863849765258215</v>
      </c>
      <c r="G86" s="10">
        <f>6*100/127</f>
        <v>4.7244094488188972</v>
      </c>
      <c r="H86" s="30">
        <v>20.474091831607701</v>
      </c>
    </row>
    <row r="87" spans="1:8" x14ac:dyDescent="0.25">
      <c r="A87" s="18"/>
      <c r="B87" s="17"/>
      <c r="C87" s="9"/>
      <c r="D87" s="9"/>
      <c r="E87" s="9"/>
      <c r="F87" s="9"/>
      <c r="G87" s="9"/>
      <c r="H87" s="9"/>
    </row>
    <row r="88" spans="1:8" ht="22.5" x14ac:dyDescent="0.25">
      <c r="A88" s="18"/>
      <c r="B88" s="22" t="s">
        <v>135</v>
      </c>
      <c r="C88" s="9"/>
      <c r="D88" s="9"/>
      <c r="E88" s="9"/>
      <c r="F88" s="9"/>
      <c r="G88" s="9"/>
      <c r="H88" s="9"/>
    </row>
    <row r="89" spans="1:8" ht="33.75" x14ac:dyDescent="0.25">
      <c r="A89" s="18" t="s">
        <v>102</v>
      </c>
      <c r="B89" s="24" t="s">
        <v>103</v>
      </c>
      <c r="C89" s="10">
        <v>54.590781014774898</v>
      </c>
      <c r="D89" s="10">
        <v>57.682761414975502</v>
      </c>
      <c r="E89" s="10">
        <v>49.862656501126303</v>
      </c>
      <c r="F89" s="30">
        <f>115*100/213</f>
        <v>53.990610328638496</v>
      </c>
      <c r="G89" s="10">
        <f>79*100/127</f>
        <v>62.204724409448822</v>
      </c>
      <c r="H89" s="10">
        <v>49.862656501126303</v>
      </c>
    </row>
    <row r="90" spans="1:8" x14ac:dyDescent="0.25">
      <c r="A90" s="18"/>
      <c r="B90" s="24"/>
      <c r="C90" s="9"/>
      <c r="D90" s="9"/>
      <c r="E90" s="9"/>
      <c r="F90" s="9"/>
      <c r="G90" s="9"/>
      <c r="H90" s="9"/>
    </row>
    <row r="91" spans="1:8" ht="45" x14ac:dyDescent="0.25">
      <c r="A91" s="18"/>
      <c r="B91" s="25" t="s">
        <v>136</v>
      </c>
      <c r="C91" s="9"/>
      <c r="D91" s="9"/>
      <c r="E91" s="9"/>
      <c r="F91" s="9"/>
      <c r="G91" s="9"/>
      <c r="H91" s="9"/>
    </row>
    <row r="92" spans="1:8" ht="14.25" customHeight="1" x14ac:dyDescent="0.25">
      <c r="A92" s="18"/>
      <c r="B92" s="26" t="s">
        <v>104</v>
      </c>
      <c r="C92" s="9"/>
      <c r="D92" s="9"/>
      <c r="E92" s="9"/>
      <c r="F92" s="9"/>
      <c r="G92" s="9"/>
      <c r="H92" s="9"/>
    </row>
    <row r="93" spans="1:8" x14ac:dyDescent="0.25">
      <c r="A93" s="18" t="s">
        <v>105</v>
      </c>
      <c r="B93" s="19" t="s">
        <v>87</v>
      </c>
      <c r="C93" s="10">
        <v>69.426531120727901</v>
      </c>
      <c r="D93" s="30">
        <v>67.933651332478206</v>
      </c>
      <c r="E93" s="30" t="s">
        <v>5</v>
      </c>
      <c r="F93" s="30">
        <f>69*100/115</f>
        <v>60</v>
      </c>
      <c r="G93" s="30">
        <f>44*100/79</f>
        <v>55.696202531645568</v>
      </c>
      <c r="H93" s="10" t="s">
        <v>5</v>
      </c>
    </row>
    <row r="94" spans="1:8" x14ac:dyDescent="0.25">
      <c r="A94" s="18" t="s">
        <v>106</v>
      </c>
      <c r="B94" s="19" t="s">
        <v>89</v>
      </c>
      <c r="C94" s="10">
        <v>13.8092867156175</v>
      </c>
      <c r="D94" s="30">
        <v>15.8771107815608</v>
      </c>
      <c r="E94" s="30" t="s">
        <v>5</v>
      </c>
      <c r="F94" s="30">
        <f>28*100/115</f>
        <v>24.347826086956523</v>
      </c>
      <c r="G94" s="30">
        <f>22*100/79</f>
        <v>27.848101265822784</v>
      </c>
      <c r="H94" s="10" t="s">
        <v>5</v>
      </c>
    </row>
    <row r="95" spans="1:8" x14ac:dyDescent="0.25">
      <c r="A95" s="18" t="s">
        <v>107</v>
      </c>
      <c r="B95" s="19" t="s">
        <v>91</v>
      </c>
      <c r="C95" s="10">
        <v>34.928193405916701</v>
      </c>
      <c r="D95" s="30">
        <v>31.8103552264329</v>
      </c>
      <c r="E95" s="30" t="s">
        <v>5</v>
      </c>
      <c r="F95" s="30">
        <f>66*100/115</f>
        <v>57.391304347826086</v>
      </c>
      <c r="G95" s="30">
        <f>56*100/79</f>
        <v>70.886075949367083</v>
      </c>
      <c r="H95" s="10" t="s">
        <v>5</v>
      </c>
    </row>
    <row r="96" spans="1:8" ht="22.5" x14ac:dyDescent="0.25">
      <c r="A96" s="18" t="s">
        <v>108</v>
      </c>
      <c r="B96" s="19" t="s">
        <v>93</v>
      </c>
      <c r="C96" s="10">
        <v>14.531126637198501</v>
      </c>
      <c r="D96" s="30">
        <v>11.5607527577219</v>
      </c>
      <c r="E96" s="30" t="s">
        <v>5</v>
      </c>
      <c r="F96" s="30">
        <f>21*100/115</f>
        <v>18.260869565217391</v>
      </c>
      <c r="G96" s="30">
        <f>15*100/79</f>
        <v>18.9873417721519</v>
      </c>
      <c r="H96" s="10" t="s">
        <v>5</v>
      </c>
    </row>
    <row r="97" spans="1:8" ht="22.5" x14ac:dyDescent="0.25">
      <c r="A97" s="18" t="s">
        <v>109</v>
      </c>
      <c r="B97" s="19" t="s">
        <v>95</v>
      </c>
      <c r="C97" s="10">
        <v>9.0711141932464692</v>
      </c>
      <c r="D97" s="30">
        <v>13.609116903517</v>
      </c>
      <c r="E97" s="30" t="s">
        <v>5</v>
      </c>
      <c r="F97" s="30">
        <f>13*100/115</f>
        <v>11.304347826086957</v>
      </c>
      <c r="G97" s="30">
        <f>11*100/79</f>
        <v>13.924050632911392</v>
      </c>
      <c r="H97" s="10" t="s">
        <v>5</v>
      </c>
    </row>
    <row r="98" spans="1:8" x14ac:dyDescent="0.25">
      <c r="A98" s="18" t="s">
        <v>110</v>
      </c>
      <c r="B98" s="19" t="s">
        <v>97</v>
      </c>
      <c r="C98" s="10">
        <v>6.2072962926028001</v>
      </c>
      <c r="D98" s="30">
        <v>9.0720669280946709</v>
      </c>
      <c r="E98" s="30" t="s">
        <v>5</v>
      </c>
      <c r="F98" s="30">
        <f>19*100/115</f>
        <v>16.521739130434781</v>
      </c>
      <c r="G98" s="30">
        <f>9*100/79</f>
        <v>11.39240506329114</v>
      </c>
      <c r="H98" s="10" t="s">
        <v>5</v>
      </c>
    </row>
    <row r="99" spans="1:8" x14ac:dyDescent="0.25">
      <c r="A99" s="18" t="s">
        <v>111</v>
      </c>
      <c r="B99" s="19" t="s">
        <v>99</v>
      </c>
      <c r="C99" s="10">
        <v>39.561515314658799</v>
      </c>
      <c r="D99" s="30">
        <v>33.416136125846997</v>
      </c>
      <c r="E99" s="30" t="s">
        <v>5</v>
      </c>
      <c r="F99" s="30">
        <f>8*100/115</f>
        <v>6.9565217391304346</v>
      </c>
      <c r="G99" s="30">
        <f>6*100/79</f>
        <v>7.5949367088607591</v>
      </c>
      <c r="H99" s="10" t="s">
        <v>5</v>
      </c>
    </row>
    <row r="100" spans="1:8" x14ac:dyDescent="0.25">
      <c r="A100" s="18" t="s">
        <v>112</v>
      </c>
      <c r="B100" s="19" t="s">
        <v>101</v>
      </c>
      <c r="C100" s="10">
        <v>9.7588460724611892</v>
      </c>
      <c r="D100" s="30">
        <v>0</v>
      </c>
      <c r="E100" s="30" t="s">
        <v>5</v>
      </c>
      <c r="F100" s="30">
        <v>0</v>
      </c>
      <c r="G100" s="30">
        <v>0</v>
      </c>
      <c r="H100" s="10" t="s">
        <v>5</v>
      </c>
    </row>
    <row r="101" spans="1:8" x14ac:dyDescent="0.25">
      <c r="A101" s="18"/>
      <c r="B101" s="24"/>
      <c r="C101" s="9"/>
      <c r="D101" s="31"/>
      <c r="E101" s="31"/>
      <c r="F101" s="31"/>
      <c r="G101" s="31"/>
      <c r="H101" s="9"/>
    </row>
    <row r="102" spans="1:8" ht="45" x14ac:dyDescent="0.25">
      <c r="A102" s="18"/>
      <c r="B102" s="25" t="s">
        <v>137</v>
      </c>
      <c r="C102" s="9"/>
      <c r="D102" s="31"/>
      <c r="E102" s="31"/>
      <c r="F102" s="31"/>
      <c r="G102" s="31"/>
      <c r="H102" s="9"/>
    </row>
    <row r="103" spans="1:8" ht="21" x14ac:dyDescent="0.25">
      <c r="A103" s="18"/>
      <c r="B103" s="26" t="s">
        <v>113</v>
      </c>
      <c r="C103" s="9"/>
      <c r="D103" s="31"/>
      <c r="E103" s="31"/>
      <c r="F103" s="31"/>
      <c r="G103" s="31"/>
      <c r="H103" s="9"/>
    </row>
    <row r="104" spans="1:8" ht="22.5" x14ac:dyDescent="0.25">
      <c r="A104" s="18" t="s">
        <v>114</v>
      </c>
      <c r="B104" s="19" t="s">
        <v>115</v>
      </c>
      <c r="C104" s="10">
        <v>43.701817282518697</v>
      </c>
      <c r="D104" s="30">
        <v>15.3750280769308</v>
      </c>
      <c r="E104" s="30" t="s">
        <v>5</v>
      </c>
      <c r="F104" s="30">
        <f>43*100/115</f>
        <v>37.391304347826086</v>
      </c>
      <c r="G104" s="30">
        <f>24*100/79</f>
        <v>30.379746835443036</v>
      </c>
      <c r="H104" s="10" t="s">
        <v>5</v>
      </c>
    </row>
    <row r="105" spans="1:8" ht="22.5" x14ac:dyDescent="0.25">
      <c r="A105" s="18" t="s">
        <v>116</v>
      </c>
      <c r="B105" s="19" t="s">
        <v>117</v>
      </c>
      <c r="C105" s="10">
        <v>7.9679075212495798</v>
      </c>
      <c r="D105" s="30">
        <v>11.9124690254736</v>
      </c>
      <c r="E105" s="30" t="s">
        <v>5</v>
      </c>
      <c r="F105" s="30">
        <f>4*100/115</f>
        <v>3.4782608695652173</v>
      </c>
      <c r="G105" s="30">
        <f>4*100/79</f>
        <v>5.0632911392405067</v>
      </c>
      <c r="H105" s="10" t="s">
        <v>5</v>
      </c>
    </row>
    <row r="106" spans="1:8" ht="22.5" x14ac:dyDescent="0.25">
      <c r="A106" s="18" t="s">
        <v>118</v>
      </c>
      <c r="B106" s="19" t="s">
        <v>119</v>
      </c>
      <c r="C106" s="10">
        <v>23.656582705176799</v>
      </c>
      <c r="D106" s="30">
        <v>36.517110922283898</v>
      </c>
      <c r="E106" s="30" t="s">
        <v>5</v>
      </c>
      <c r="F106" s="30">
        <f>14*100/115</f>
        <v>12.173913043478262</v>
      </c>
      <c r="G106" s="30">
        <f>13*100/79</f>
        <v>16.455696202531644</v>
      </c>
      <c r="H106" s="10" t="s">
        <v>5</v>
      </c>
    </row>
    <row r="107" spans="1:8" ht="22.5" x14ac:dyDescent="0.25">
      <c r="A107" s="18" t="s">
        <v>120</v>
      </c>
      <c r="B107" s="19" t="s">
        <v>121</v>
      </c>
      <c r="C107" s="10">
        <v>14.620047887614801</v>
      </c>
      <c r="D107" s="30">
        <v>21.6635762738705</v>
      </c>
      <c r="E107" s="30" t="s">
        <v>5</v>
      </c>
      <c r="F107" s="30">
        <f>35*100/115</f>
        <v>30.434782608695652</v>
      </c>
      <c r="G107" s="30">
        <f>34*100/79</f>
        <v>43.037974683544306</v>
      </c>
      <c r="H107" s="10" t="s">
        <v>5</v>
      </c>
    </row>
    <row r="108" spans="1:8" x14ac:dyDescent="0.25">
      <c r="A108" s="18" t="s">
        <v>122</v>
      </c>
      <c r="B108" s="19" t="s">
        <v>123</v>
      </c>
      <c r="C108" s="10">
        <v>17.302122634597499</v>
      </c>
      <c r="D108" s="30">
        <v>25.302408971114801</v>
      </c>
      <c r="E108" s="30" t="s">
        <v>5</v>
      </c>
      <c r="F108" s="30">
        <f>35*100/115</f>
        <v>30.434782608695652</v>
      </c>
      <c r="G108" s="30">
        <f>24*100/79</f>
        <v>30.379746835443036</v>
      </c>
      <c r="H108" s="10" t="s">
        <v>5</v>
      </c>
    </row>
    <row r="109" spans="1:8" ht="22.5" x14ac:dyDescent="0.25">
      <c r="A109" s="18" t="s">
        <v>124</v>
      </c>
      <c r="B109" s="19" t="s">
        <v>125</v>
      </c>
      <c r="C109" s="10">
        <v>0.89156125671245501</v>
      </c>
      <c r="D109" s="30">
        <v>1.39555875931863</v>
      </c>
      <c r="E109" s="30" t="s">
        <v>5</v>
      </c>
      <c r="F109" s="30">
        <f>3*100/115</f>
        <v>2.6086956521739131</v>
      </c>
      <c r="G109" s="30">
        <f>3*100/79</f>
        <v>3.7974683544303796</v>
      </c>
      <c r="H109" s="10" t="s">
        <v>5</v>
      </c>
    </row>
    <row r="110" spans="1:8" x14ac:dyDescent="0.25">
      <c r="A110" s="18" t="s">
        <v>126</v>
      </c>
      <c r="B110" s="19" t="s">
        <v>127</v>
      </c>
      <c r="C110" s="10">
        <v>8.1641732145495105</v>
      </c>
      <c r="D110" s="30">
        <v>9.7934018248135395</v>
      </c>
      <c r="E110" s="30" t="s">
        <v>5</v>
      </c>
      <c r="F110" s="30">
        <f>14*100/115</f>
        <v>12.173913043478262</v>
      </c>
      <c r="G110" s="30">
        <f t="shared" ref="G110" si="3">44*100/79</f>
        <v>55.696202531645568</v>
      </c>
      <c r="H110" s="10" t="s">
        <v>5</v>
      </c>
    </row>
    <row r="111" spans="1:8" x14ac:dyDescent="0.25">
      <c r="A111" s="27" t="s">
        <v>128</v>
      </c>
      <c r="B111" s="28" t="s">
        <v>6</v>
      </c>
      <c r="C111" s="11">
        <v>0</v>
      </c>
      <c r="D111" s="32">
        <v>0</v>
      </c>
      <c r="E111" s="32" t="s">
        <v>5</v>
      </c>
      <c r="F111" s="32">
        <v>0</v>
      </c>
      <c r="G111" s="32">
        <f>8*100/79</f>
        <v>10.126582278481013</v>
      </c>
      <c r="H111" s="11" t="s">
        <v>5</v>
      </c>
    </row>
    <row r="112" spans="1:8" x14ac:dyDescent="0.25">
      <c r="A112" s="29"/>
      <c r="B112" s="29"/>
      <c r="C112" s="29"/>
      <c r="D112" s="29"/>
      <c r="E112" s="33"/>
      <c r="F112" s="29"/>
      <c r="G112" s="29"/>
    </row>
    <row r="113" spans="2:7" x14ac:dyDescent="0.25">
      <c r="B113" s="29"/>
      <c r="C113" s="29"/>
      <c r="D113" s="29"/>
      <c r="E113" s="33"/>
      <c r="F113" s="29"/>
      <c r="G113" s="29"/>
    </row>
    <row r="114" spans="2:7" x14ac:dyDescent="0.25">
      <c r="D114" s="34"/>
      <c r="E114" s="33"/>
      <c r="F114" s="34"/>
      <c r="G114" s="34"/>
    </row>
    <row r="115" spans="2:7" x14ac:dyDescent="0.25">
      <c r="D115" s="34"/>
      <c r="E115" s="33"/>
      <c r="F115" s="34"/>
      <c r="G115" s="34"/>
    </row>
    <row r="116" spans="2:7" x14ac:dyDescent="0.25">
      <c r="D116" s="34"/>
      <c r="E116" s="33"/>
      <c r="F116" s="34"/>
      <c r="G116" s="34"/>
    </row>
    <row r="117" spans="2:7" x14ac:dyDescent="0.25">
      <c r="D117" s="34"/>
      <c r="E117" s="33"/>
      <c r="F117" s="34"/>
      <c r="G117" s="34"/>
    </row>
    <row r="118" spans="2:7" x14ac:dyDescent="0.25">
      <c r="D118" s="34"/>
      <c r="E118" s="33"/>
      <c r="F118" s="34"/>
      <c r="G118" s="34"/>
    </row>
    <row r="119" spans="2:7" x14ac:dyDescent="0.25">
      <c r="D119" s="34"/>
      <c r="E119" s="33"/>
      <c r="F119" s="34"/>
      <c r="G119" s="34"/>
    </row>
    <row r="120" spans="2:7" x14ac:dyDescent="0.25">
      <c r="D120" s="34"/>
      <c r="E120" s="33"/>
      <c r="F120" s="34"/>
      <c r="G120" s="34"/>
    </row>
  </sheetData>
  <mergeCells count="16">
    <mergeCell ref="A2:H2"/>
    <mergeCell ref="A3:H3"/>
    <mergeCell ref="C4:E4"/>
    <mergeCell ref="C7:C9"/>
    <mergeCell ref="D8:D9"/>
    <mergeCell ref="E8:E9"/>
    <mergeCell ref="A4:B4"/>
    <mergeCell ref="B6:B9"/>
    <mergeCell ref="A6:A9"/>
    <mergeCell ref="C6:E6"/>
    <mergeCell ref="F6:H6"/>
    <mergeCell ref="F7:F9"/>
    <mergeCell ref="G8:G9"/>
    <mergeCell ref="H8:H9"/>
    <mergeCell ref="D7:E7"/>
    <mergeCell ref="G7:H7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т21</vt:lpstr>
      <vt:lpstr>Лист2</vt:lpstr>
      <vt:lpstr>Лист3</vt:lpstr>
      <vt:lpstr>т21!Заголовки_для_печати</vt:lpstr>
    </vt:vector>
  </TitlesOfParts>
  <Company>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P75_YaroshTN</dc:creator>
  <cp:lastModifiedBy>perepis1</cp:lastModifiedBy>
  <cp:lastPrinted>2017-10-24T03:53:06Z</cp:lastPrinted>
  <dcterms:created xsi:type="dcterms:W3CDTF">2017-10-24T01:42:13Z</dcterms:created>
  <dcterms:modified xsi:type="dcterms:W3CDTF">2017-12-15T02:44:22Z</dcterms:modified>
</cp:coreProperties>
</file>